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<sst xmlns="http://schemas.openxmlformats.org/spreadsheetml/2006/main" count="159" uniqueCount="113">
  <si>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</si>
  <si>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</si>
  <si>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</si>
  <si>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</si>
  <si>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</si>
  <si>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</si>
  <si>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</si>
  <si>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</si>
  <si>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</si>
  <si>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</si>
  <si>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</si>
  <si>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</si>
  <si>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</si>
  <si>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</si>
  <si>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</si>
  <si>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</si>
  <si>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</si>
  <si>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</si>
  <si>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</si>
  <si>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</si>
  <si>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</si>
  <si>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</si>
  <si>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</si>
  <si>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</si>
  <si>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</si>
  <si>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</si>
  <si>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</si>
  <si>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</si>
  <si>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</si>
  <si>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</si>
  <si>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</si>
  <si>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</si>
  <si>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</si>
  <si>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</si>
  <si>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</si>
  <si>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</si>
  <si>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</si>
  <si>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</si>
  <si>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</si>
  <si>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</si>
  <si>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</si>
  <si>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</si>
  <si>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</si>
  <si>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</si>
  <si>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</si>
  <si>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</si>
  <si>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</si>
  <si>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</si>
  <si>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</si>
  <si>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</si>
  <si>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</si>
  <si>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</si>
  <si>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</si>
  <si>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</si>
  <si>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</si>
  <si>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</si>
  <si>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</si>
  <si>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</si>
  <si>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</si>
  <si>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</si>
  <si>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</si>
  <si>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</si>
  <si>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</si>
  <si>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</si>
  <si>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</si>
  <si>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</si>
  <si>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</si>
  <si>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</si>
  <si>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</si>
  <si>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</si>
  <si>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</si>
  <si>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</si>
  <si>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</si>
  <si>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</si>
  <si>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</si>
  <si>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</si>
  <si>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</si>
  <si>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</si>
  <si>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</si>
  <si>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</si>
  <si>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</si>
  <si>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</si>
  <si>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</si>
  <si>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</si>
  <si>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</si>
  <si>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</si>
  <si>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</si>
  <si>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</si>
  <si>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</si>
  <si>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</si>
  <si>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</si>
  <si>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</si>
  <si>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</si>
  <si>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</si>
  <si>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</si>
  <si>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</si>
  <si>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</si>
  <si>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</si>
  <si>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</si>
  <si>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</si>
  <si>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</si>
  <si>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</si>
  <si>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</si>
  <si>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</si>
  <si>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</si>
  <si>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</si>
  <si>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</si>
  <si>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</si>
  <si>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</si>
  <si>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</si>
  <si>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</si>
  <si>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</si>
  <si>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21.11.2014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</si>
</sst>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36783.200000000004</c:v>
                </c:pt>
                <c:pt idx="1">
                  <c:v>31923.799999999996</c:v>
                </c:pt>
                <c:pt idx="2">
                  <c:v>1233.9</c:v>
                </c:pt>
                <c:pt idx="3">
                  <c:v>3625.5000000000086</c:v>
                </c:pt>
              </c:numCache>
            </c:numRef>
          </c:val>
          <c:shape val="box"/>
        </c:ser>
        <c:shape val="box"/>
        <c:axId val="21307250"/>
        <c:axId val="57547523"/>
      </c:bar3D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72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237864.21000000002</c:v>
                </c:pt>
                <c:pt idx="1">
                  <c:v>198440.19999999995</c:v>
                </c:pt>
                <c:pt idx="2">
                  <c:v>26.6</c:v>
                </c:pt>
                <c:pt idx="3">
                  <c:v>14416.199999999999</c:v>
                </c:pt>
                <c:pt idx="4">
                  <c:v>23341.1</c:v>
                </c:pt>
                <c:pt idx="5">
                  <c:v>201.4</c:v>
                </c:pt>
                <c:pt idx="6">
                  <c:v>1438.7100000000733</c:v>
                </c:pt>
              </c:numCache>
            </c:numRef>
          </c:val>
          <c:shape val="box"/>
        </c:ser>
        <c:shape val="box"/>
        <c:axId val="48165660"/>
        <c:axId val="30837757"/>
      </c:bar3D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656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7851.5</c:v>
                </c:pt>
                <c:pt idx="3">
                  <c:v>2836.6</c:v>
                </c:pt>
                <c:pt idx="4">
                  <c:v>19353.6</c:v>
                </c:pt>
                <c:pt idx="5">
                  <c:v>1403.5</c:v>
                </c:pt>
                <c:pt idx="6">
                  <c:v>12919.000000000015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166048.70000000004</c:v>
                </c:pt>
                <c:pt idx="1">
                  <c:v>134115.4</c:v>
                </c:pt>
                <c:pt idx="2">
                  <c:v>5665.499999999998</c:v>
                </c:pt>
                <c:pt idx="3">
                  <c:v>2430.2999999999997</c:v>
                </c:pt>
                <c:pt idx="4">
                  <c:v>12149.999999999998</c:v>
                </c:pt>
                <c:pt idx="5">
                  <c:v>1160.3999999999999</c:v>
                </c:pt>
                <c:pt idx="6">
                  <c:v>10527.10000000005</c:v>
                </c:pt>
              </c:numCache>
            </c:numRef>
          </c:val>
          <c:shape val="box"/>
        </c:ser>
        <c:shape val="box"/>
        <c:axId val="9104358"/>
        <c:axId val="14830359"/>
      </c:bar3D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30359"/>
        <c:crosses val="autoZero"/>
        <c:auto val="1"/>
        <c:lblOffset val="100"/>
        <c:tickLblSkip val="1"/>
        <c:noMultiLvlLbl val="0"/>
      </c:catAx>
      <c:valAx>
        <c:axId val="14830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04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31459.299999999996</c:v>
                </c:pt>
                <c:pt idx="1">
                  <c:v>24616.200000000004</c:v>
                </c:pt>
                <c:pt idx="2">
                  <c:v>788.2999999999997</c:v>
                </c:pt>
                <c:pt idx="3">
                  <c:v>357.9</c:v>
                </c:pt>
                <c:pt idx="4">
                  <c:v>18</c:v>
                </c:pt>
                <c:pt idx="5">
                  <c:v>5678.899999999992</c:v>
                </c:pt>
              </c:numCache>
            </c:numRef>
          </c:val>
          <c:shape val="box"/>
        </c:ser>
        <c:shape val="box"/>
        <c:axId val="66364368"/>
        <c:axId val="60408401"/>
      </c:bar3D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08401"/>
        <c:crosses val="autoZero"/>
        <c:auto val="1"/>
        <c:lblOffset val="100"/>
        <c:tickLblSkip val="1"/>
        <c:noMultiLvlLbl val="0"/>
      </c:catAx>
      <c:valAx>
        <c:axId val="60408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43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533.1</c:v>
                </c:pt>
                <c:pt idx="5">
                  <c:v>3639.299999999999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9780.300000000001</c:v>
                </c:pt>
                <c:pt idx="1">
                  <c:v>6593.299999999998</c:v>
                </c:pt>
                <c:pt idx="2">
                  <c:v>2.1</c:v>
                </c:pt>
                <c:pt idx="3">
                  <c:v>152.8</c:v>
                </c:pt>
                <c:pt idx="4">
                  <c:v>260.09999999999985</c:v>
                </c:pt>
                <c:pt idx="5">
                  <c:v>2772.0000000000027</c:v>
                </c:pt>
              </c:numCache>
            </c:numRef>
          </c:val>
          <c:shape val="box"/>
        </c:ser>
        <c:shape val="box"/>
        <c:axId val="6804698"/>
        <c:axId val="61242283"/>
      </c:bar3DChart>
      <c:cat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42283"/>
        <c:crosses val="autoZero"/>
        <c:auto val="1"/>
        <c:lblOffset val="100"/>
        <c:tickLblSkip val="2"/>
        <c:noMultiLvlLbl val="0"/>
      </c:catAx>
      <c:valAx>
        <c:axId val="61242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46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2737.2000000000007</c:v>
                </c:pt>
                <c:pt idx="1">
                  <c:v>1598.6</c:v>
                </c:pt>
                <c:pt idx="2">
                  <c:v>181.4</c:v>
                </c:pt>
                <c:pt idx="3">
                  <c:v>138.20000000000005</c:v>
                </c:pt>
                <c:pt idx="4">
                  <c:v>728.3000000000001</c:v>
                </c:pt>
                <c:pt idx="5">
                  <c:v>90.7000000000007</c:v>
                </c:pt>
              </c:numCache>
            </c:numRef>
          </c:val>
          <c:shape val="box"/>
        </c:ser>
        <c:shape val="box"/>
        <c:axId val="14309636"/>
        <c:axId val="61677861"/>
      </c:bar3D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77861"/>
        <c:crosses val="autoZero"/>
        <c:auto val="1"/>
        <c:lblOffset val="100"/>
        <c:tickLblSkip val="1"/>
        <c:noMultiLvlLbl val="0"/>
      </c:catAx>
      <c:valAx>
        <c:axId val="61677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096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31088.600000000006</c:v>
                </c:pt>
              </c:numCache>
            </c:numRef>
          </c:val>
          <c:shape val="box"/>
        </c:ser>
        <c:shape val="box"/>
        <c:axId val="18229838"/>
        <c:axId val="29850815"/>
      </c:bar3D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98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237864.21000000002</c:v>
                </c:pt>
                <c:pt idx="1">
                  <c:v>166048.70000000004</c:v>
                </c:pt>
                <c:pt idx="2">
                  <c:v>31459.299999999996</c:v>
                </c:pt>
                <c:pt idx="3">
                  <c:v>9780.300000000001</c:v>
                </c:pt>
                <c:pt idx="4">
                  <c:v>2737.2000000000007</c:v>
                </c:pt>
                <c:pt idx="5">
                  <c:v>36783.200000000004</c:v>
                </c:pt>
                <c:pt idx="6">
                  <c:v>31088.600000000006</c:v>
                </c:pt>
              </c:numCache>
            </c:numRef>
          </c:val>
          <c:shape val="box"/>
        </c:ser>
        <c:shape val="box"/>
        <c:axId val="221880"/>
        <c:axId val="1996921"/>
      </c:bar3DChart>
      <c:cat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8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431119.7</c:v>
                </c:pt>
                <c:pt idx="1">
                  <c:v>64497.399999999994</c:v>
                </c:pt>
                <c:pt idx="2">
                  <c:v>20514.600000000002</c:v>
                </c:pt>
                <c:pt idx="3">
                  <c:v>8559.9</c:v>
                </c:pt>
                <c:pt idx="4">
                  <c:v>7976.8</c:v>
                </c:pt>
                <c:pt idx="5">
                  <c:v>91491.39999999992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402653.3999999999</c:v>
                </c:pt>
                <c:pt idx="1">
                  <c:v>38506.9</c:v>
                </c:pt>
                <c:pt idx="2">
                  <c:v>17229.600000000002</c:v>
                </c:pt>
                <c:pt idx="3">
                  <c:v>6406.300000000001</c:v>
                </c:pt>
                <c:pt idx="4">
                  <c:v>5695.199999999999</c:v>
                </c:pt>
                <c:pt idx="5">
                  <c:v>68545.2100000002</c:v>
                </c:pt>
              </c:numCache>
            </c:numRef>
          </c:val>
          <c:shape val="box"/>
        </c:ser>
        <c:shape val="box"/>
        <c:axId val="17972290"/>
        <c:axId val="27532883"/>
      </c:bar3D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32883"/>
        <c:crosses val="autoZero"/>
        <c:auto val="1"/>
        <c:lblOffset val="100"/>
        <c:tickLblSkip val="1"/>
        <c:noMultiLvlLbl val="0"/>
      </c:catAx>
      <c:valAx>
        <c:axId val="27532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22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3" sqref="D2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255646.7-11.5+5906.4+10.3</f>
        <v>261551.9</v>
      </c>
      <c r="C6" s="53">
        <f>279531.5-5173.3+47.5+832+10.3</f>
        <v>275248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+20+553.3+2552.5</f>
        <v>240990.01</v>
      </c>
      <c r="E6" s="3">
        <f>D6/D137*100</f>
        <v>44.31782486601899</v>
      </c>
      <c r="F6" s="3">
        <f>D6/B6*100</f>
        <v>92.1385048244727</v>
      </c>
      <c r="G6" s="3">
        <f aca="true" t="shared" si="0" ref="G6:G41">D6/C6*100</f>
        <v>87.55377332442016</v>
      </c>
      <c r="H6" s="3">
        <f>B6-D6</f>
        <v>20561.889999999985</v>
      </c>
      <c r="I6" s="3">
        <f aca="true" t="shared" si="1" ref="I6:I41">C6-D6</f>
        <v>34257.98999999999</v>
      </c>
    </row>
    <row r="7" spans="1:9" ht="18">
      <c r="A7" s="29" t="s">
        <v>3</v>
      </c>
      <c r="B7" s="49">
        <f>205760-11.5+5906.4</f>
        <v>211654.9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</f>
        <v>201220.29999999993</v>
      </c>
      <c r="E7" s="1">
        <f>D7/D6*100</f>
        <v>83.49736157112899</v>
      </c>
      <c r="F7" s="1">
        <f>D7/B7*100</f>
        <v>95.06999365476536</v>
      </c>
      <c r="G7" s="1">
        <f t="shared" si="0"/>
        <v>93.10922433311227</v>
      </c>
      <c r="H7" s="1">
        <f>B7-D7</f>
        <v>10434.600000000064</v>
      </c>
      <c r="I7" s="1">
        <f t="shared" si="1"/>
        <v>14891.800000000076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0.1+0.1+0.3+0.3+2.7+0.7+1.1+1.4+0.5+0.7+1.7+0.4+0.5+1+0.2+0.1+2.9+0.1+0.2+1+0.8+0.9+1.8+0.5+1.6+2.2+2.7+0.1+0.9</f>
        <v>27.5</v>
      </c>
      <c r="E8" s="12">
        <f>D8/D6*100</f>
        <v>0.011411261404570256</v>
      </c>
      <c r="F8" s="1">
        <f>D8/B8*100</f>
        <v>61.65919282511211</v>
      </c>
      <c r="G8" s="1">
        <f t="shared" si="0"/>
        <v>61.65919282511211</v>
      </c>
      <c r="H8" s="1">
        <f aca="true" t="shared" si="2" ref="H8:H41">B8-D8</f>
        <v>17.1</v>
      </c>
      <c r="I8" s="1">
        <f t="shared" si="1"/>
        <v>17.1</v>
      </c>
    </row>
    <row r="9" spans="1:9" ht="18">
      <c r="A9" s="29" t="s">
        <v>1</v>
      </c>
      <c r="B9" s="49">
        <v>15502.3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</f>
        <v>14416.199999999999</v>
      </c>
      <c r="E9" s="1">
        <f>D9/D6*100</f>
        <v>5.982073696747844</v>
      </c>
      <c r="F9" s="1">
        <f aca="true" t="shared" si="3" ref="F9:F39">D9/B9*100</f>
        <v>92.9939428342891</v>
      </c>
      <c r="G9" s="1">
        <f t="shared" si="0"/>
        <v>84.28702561434075</v>
      </c>
      <c r="H9" s="1">
        <f t="shared" si="2"/>
        <v>1086.1000000000004</v>
      </c>
      <c r="I9" s="1">
        <f t="shared" si="1"/>
        <v>2687.500000000002</v>
      </c>
    </row>
    <row r="10" spans="1:9" ht="18">
      <c r="A10" s="29" t="s">
        <v>0</v>
      </c>
      <c r="B10" s="49">
        <v>31902.3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</f>
        <v>23660.199999999997</v>
      </c>
      <c r="E10" s="1">
        <f>D10/D6*100</f>
        <v>9.817917348524114</v>
      </c>
      <c r="F10" s="1">
        <f t="shared" si="3"/>
        <v>74.16455866818379</v>
      </c>
      <c r="G10" s="1">
        <f t="shared" si="0"/>
        <v>59.98200048167725</v>
      </c>
      <c r="H10" s="1">
        <f t="shared" si="2"/>
        <v>8242.100000000002</v>
      </c>
      <c r="I10" s="1">
        <f t="shared" si="1"/>
        <v>15785.300000000003</v>
      </c>
    </row>
    <row r="11" spans="1:9" ht="18">
      <c r="A11" s="29" t="s">
        <v>15</v>
      </c>
      <c r="B11" s="49">
        <f>242.6+3.6</f>
        <v>246.2</v>
      </c>
      <c r="C11" s="50">
        <f>281.8-31.7+3.6</f>
        <v>253.70000000000002</v>
      </c>
      <c r="D11" s="51">
        <f>4+4+12.7+4+4+14.5+4+115.8+4+14.4+5.4+0.1+13.4+1+0.1</f>
        <v>201.4</v>
      </c>
      <c r="E11" s="1">
        <f>D11/D6*100</f>
        <v>0.0835719289774709</v>
      </c>
      <c r="F11" s="1">
        <f t="shared" si="3"/>
        <v>81.80341186027621</v>
      </c>
      <c r="G11" s="1">
        <f t="shared" si="0"/>
        <v>79.38510051241624</v>
      </c>
      <c r="H11" s="1">
        <f t="shared" si="2"/>
        <v>44.79999999999998</v>
      </c>
      <c r="I11" s="1">
        <f t="shared" si="1"/>
        <v>52.30000000000001</v>
      </c>
    </row>
    <row r="12" spans="1:9" ht="18.75" thickBot="1">
      <c r="A12" s="29" t="s">
        <v>35</v>
      </c>
      <c r="B12" s="50">
        <f>B6-B7-B8-B9-B10-B11</f>
        <v>2201.6000000000067</v>
      </c>
      <c r="C12" s="50">
        <f>C6-C7-C8-C9-C10-C11</f>
        <v>2288.3999999999915</v>
      </c>
      <c r="D12" s="50">
        <f>D6-D7-D8-D9-D10-D11</f>
        <v>1464.410000000085</v>
      </c>
      <c r="E12" s="1">
        <f>D12/D6*100</f>
        <v>0.6076641932170072</v>
      </c>
      <c r="F12" s="1">
        <f t="shared" si="3"/>
        <v>66.51571584302691</v>
      </c>
      <c r="G12" s="1">
        <f t="shared" si="0"/>
        <v>63.99274602342643</v>
      </c>
      <c r="H12" s="1">
        <f t="shared" si="2"/>
        <v>737.1899999999218</v>
      </c>
      <c r="I12" s="1">
        <f t="shared" si="1"/>
        <v>823.9899999999066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173300.3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</f>
        <v>166405.30000000005</v>
      </c>
      <c r="E17" s="3">
        <f>D17/D137*100</f>
        <v>30.601770347979784</v>
      </c>
      <c r="F17" s="3">
        <f>D17/B17*100</f>
        <v>96.02135714710249</v>
      </c>
      <c r="G17" s="3">
        <f t="shared" si="0"/>
        <v>93.22054977084947</v>
      </c>
      <c r="H17" s="3">
        <f>B17-D17</f>
        <v>6894.999999999942</v>
      </c>
      <c r="I17" s="3">
        <f t="shared" si="1"/>
        <v>12101.79999999996</v>
      </c>
    </row>
    <row r="18" spans="1:9" ht="18">
      <c r="A18" s="29" t="s">
        <v>5</v>
      </c>
      <c r="B18" s="49">
        <f>134128+14.9</f>
        <v>134142.9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</f>
        <v>134115.4</v>
      </c>
      <c r="E18" s="1">
        <f>D18/D17*100</f>
        <v>80.59563006707116</v>
      </c>
      <c r="F18" s="1">
        <f t="shared" si="3"/>
        <v>99.97949947406832</v>
      </c>
      <c r="G18" s="1">
        <f t="shared" si="0"/>
        <v>99.97949947406832</v>
      </c>
      <c r="H18" s="1">
        <f t="shared" si="2"/>
        <v>27.5</v>
      </c>
      <c r="I18" s="1">
        <f t="shared" si="1"/>
        <v>27.5</v>
      </c>
    </row>
    <row r="19" spans="1:9" ht="18">
      <c r="A19" s="29" t="s">
        <v>2</v>
      </c>
      <c r="B19" s="49">
        <v>7281.7</v>
      </c>
      <c r="C19" s="50">
        <f>7565.3-5.5+258.8+32.9</f>
        <v>7851.5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</f>
        <v>5694.399999999998</v>
      </c>
      <c r="E19" s="1">
        <f>D19/D17*100</f>
        <v>3.4220063904214566</v>
      </c>
      <c r="F19" s="1">
        <f t="shared" si="3"/>
        <v>78.2015188760866</v>
      </c>
      <c r="G19" s="1">
        <f t="shared" si="0"/>
        <v>72.52626886582179</v>
      </c>
      <c r="H19" s="1">
        <f t="shared" si="2"/>
        <v>1587.300000000002</v>
      </c>
      <c r="I19" s="1">
        <f t="shared" si="1"/>
        <v>2157.100000000002</v>
      </c>
    </row>
    <row r="20" spans="1:9" ht="18">
      <c r="A20" s="29" t="s">
        <v>1</v>
      </c>
      <c r="B20" s="49">
        <f>2605.6+8</f>
        <v>2613.6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</f>
        <v>2474.1</v>
      </c>
      <c r="E20" s="1">
        <f>D20/D17*100</f>
        <v>1.4867915865660524</v>
      </c>
      <c r="F20" s="1">
        <f t="shared" si="3"/>
        <v>94.6625344352617</v>
      </c>
      <c r="G20" s="1">
        <f t="shared" si="0"/>
        <v>87.22061623069872</v>
      </c>
      <c r="H20" s="1">
        <f t="shared" si="2"/>
        <v>139.5</v>
      </c>
      <c r="I20" s="1">
        <f t="shared" si="1"/>
        <v>362.5</v>
      </c>
    </row>
    <row r="21" spans="1:9" ht="18">
      <c r="A21" s="29" t="s">
        <v>0</v>
      </c>
      <c r="B21" s="49">
        <f>15535.5-1</f>
        <v>15534.5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</f>
        <v>12287.399999999998</v>
      </c>
      <c r="E21" s="1">
        <f>D21/D17*100</f>
        <v>7.384019619567401</v>
      </c>
      <c r="F21" s="1">
        <f t="shared" si="3"/>
        <v>79.09749267758858</v>
      </c>
      <c r="G21" s="1">
        <f t="shared" si="0"/>
        <v>63.48896329365079</v>
      </c>
      <c r="H21" s="1">
        <f t="shared" si="2"/>
        <v>3247.100000000002</v>
      </c>
      <c r="I21" s="1">
        <f t="shared" si="1"/>
        <v>7066.200000000001</v>
      </c>
    </row>
    <row r="22" spans="1:9" ht="18">
      <c r="A22" s="29" t="s">
        <v>15</v>
      </c>
      <c r="B22" s="49">
        <f>1308.1+7.1</f>
        <v>1315.1999999999998</v>
      </c>
      <c r="C22" s="50">
        <f>1388.5-4+10.9+8.1</f>
        <v>1403.5</v>
      </c>
      <c r="D22" s="51">
        <f>14.2+80.1+19.7+105+3.5+1.3+30+84.1+0.1+72.2+54.8+15.1+59.3+59.3+8.9+52.2+1.2+36.9+21.6+108.1+114.2+52.3+53.9+3.6+52.3+56.5+0.1-0.1+52.3</f>
        <v>1212.6999999999998</v>
      </c>
      <c r="E22" s="1">
        <f>D22/D17*100</f>
        <v>0.7287628458949321</v>
      </c>
      <c r="F22" s="1">
        <f t="shared" si="3"/>
        <v>92.20650851581509</v>
      </c>
      <c r="G22" s="1">
        <f t="shared" si="0"/>
        <v>86.40541503384395</v>
      </c>
      <c r="H22" s="1">
        <f t="shared" si="2"/>
        <v>102.5</v>
      </c>
      <c r="I22" s="1">
        <f t="shared" si="1"/>
        <v>190.80000000000018</v>
      </c>
    </row>
    <row r="23" spans="1:9" ht="18.75" thickBot="1">
      <c r="A23" s="29" t="s">
        <v>35</v>
      </c>
      <c r="B23" s="50">
        <f>B17-B18-B19-B20-B21-B22</f>
        <v>12412.399999999994</v>
      </c>
      <c r="C23" s="50">
        <f>C17-C18-C19-C20-C21-C22</f>
        <v>12919.000000000015</v>
      </c>
      <c r="D23" s="50">
        <f>D17-D18-D19-D20-D21-D22</f>
        <v>10621.300000000057</v>
      </c>
      <c r="E23" s="1">
        <f>D23/D17*100</f>
        <v>6.382789490479002</v>
      </c>
      <c r="F23" s="1">
        <f t="shared" si="3"/>
        <v>85.57007508620462</v>
      </c>
      <c r="G23" s="1">
        <f t="shared" si="0"/>
        <v>82.21456769099811</v>
      </c>
      <c r="H23" s="1">
        <f t="shared" si="2"/>
        <v>1791.0999999999367</v>
      </c>
      <c r="I23" s="1">
        <f t="shared" si="1"/>
        <v>2297.699999999957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34254.3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</f>
        <v>31670.699999999993</v>
      </c>
      <c r="E31" s="3">
        <f>D31/D137*100</f>
        <v>5.824210455795355</v>
      </c>
      <c r="F31" s="3">
        <f>D31/B31*100</f>
        <v>92.4575892661651</v>
      </c>
      <c r="G31" s="3">
        <f t="shared" si="0"/>
        <v>86.2367359830961</v>
      </c>
      <c r="H31" s="3">
        <f t="shared" si="2"/>
        <v>2583.6000000000095</v>
      </c>
      <c r="I31" s="3">
        <f t="shared" si="1"/>
        <v>5054.6000000000095</v>
      </c>
    </row>
    <row r="32" spans="1:9" ht="18">
      <c r="A32" s="29" t="s">
        <v>3</v>
      </c>
      <c r="B32" s="49">
        <f>26254+12.1</f>
        <v>26266.1</v>
      </c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</f>
        <v>24616.200000000004</v>
      </c>
      <c r="E32" s="1">
        <f>D32/D31*100</f>
        <v>77.72546865083503</v>
      </c>
      <c r="F32" s="1">
        <f t="shared" si="3"/>
        <v>93.71851930815768</v>
      </c>
      <c r="G32" s="1">
        <f t="shared" si="0"/>
        <v>88.08960618368553</v>
      </c>
      <c r="H32" s="1">
        <f t="shared" si="2"/>
        <v>1649.8999999999942</v>
      </c>
      <c r="I32" s="1">
        <f t="shared" si="1"/>
        <v>3328.2999999999956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f>1428.4-11.1</f>
        <v>1417.3000000000002</v>
      </c>
      <c r="C34" s="50">
        <f>1732.8+0.4+2-11.1</f>
        <v>1724.1000000000001</v>
      </c>
      <c r="D34" s="51">
        <f>1+2.5+0.8+6+1.4+0.1+11.2+0.5+6.3-0.2+32.4+6.9+2.4+3.4+18.4+48+143.7+198.6+32.7+71.3+22.6+9.9+48+1.6+5.4+15.8+0.4+0.8+1.6+4.3+7.5-0.1+9.4+0.4+4.3-0.2+4.2+1.9+2.1+9.7+0.2+1+9.8+0.3+40-3.1+0.1</f>
        <v>785.2999999999997</v>
      </c>
      <c r="E34" s="1">
        <f>D34/D31*100</f>
        <v>2.479578916790598</v>
      </c>
      <c r="F34" s="1">
        <f t="shared" si="3"/>
        <v>55.40817046496858</v>
      </c>
      <c r="G34" s="1">
        <f t="shared" si="0"/>
        <v>45.548402064845405</v>
      </c>
      <c r="H34" s="1">
        <f t="shared" si="2"/>
        <v>632.0000000000005</v>
      </c>
      <c r="I34" s="1">
        <f t="shared" si="1"/>
        <v>938.8000000000004</v>
      </c>
    </row>
    <row r="35" spans="1:9" s="44" customFormat="1" ht="18.75">
      <c r="A35" s="23" t="s">
        <v>7</v>
      </c>
      <c r="B35" s="58">
        <v>419.3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1.1300665915183437</v>
      </c>
      <c r="F35" s="19">
        <f t="shared" si="3"/>
        <v>85.35654662532792</v>
      </c>
      <c r="G35" s="19">
        <f t="shared" si="0"/>
        <v>82.03071281228513</v>
      </c>
      <c r="H35" s="19">
        <f t="shared" si="2"/>
        <v>61.400000000000034</v>
      </c>
      <c r="I35" s="19">
        <f t="shared" si="1"/>
        <v>78.39999999999998</v>
      </c>
    </row>
    <row r="36" spans="1:9" ht="18">
      <c r="A36" s="29" t="s">
        <v>15</v>
      </c>
      <c r="B36" s="49">
        <v>24.8</v>
      </c>
      <c r="C36" s="50">
        <f>45.2-20+3</f>
        <v>28.200000000000003</v>
      </c>
      <c r="D36" s="50">
        <f>3.6+3.6+7.2+3.6+3.4</f>
        <v>21.4</v>
      </c>
      <c r="E36" s="1">
        <f>D36/D31*100</f>
        <v>0.06757034104077271</v>
      </c>
      <c r="F36" s="1">
        <f t="shared" si="3"/>
        <v>86.29032258064515</v>
      </c>
      <c r="G36" s="1">
        <f t="shared" si="0"/>
        <v>75.88652482269502</v>
      </c>
      <c r="H36" s="1">
        <f t="shared" si="2"/>
        <v>3.400000000000002</v>
      </c>
      <c r="I36" s="1">
        <f t="shared" si="1"/>
        <v>6.800000000000004</v>
      </c>
    </row>
    <row r="37" spans="1:9" ht="18.75" thickBot="1">
      <c r="A37" s="29" t="s">
        <v>35</v>
      </c>
      <c r="B37" s="49">
        <f>B31-B32-B34-B35-B33-B36</f>
        <v>6126.800000000004</v>
      </c>
      <c r="C37" s="49">
        <f>C31-C32-C34-C35-C33-C36</f>
        <v>6592.200000000003</v>
      </c>
      <c r="D37" s="49">
        <f>D31-D32-D34-D35-D33-D36</f>
        <v>5889.8999999999905</v>
      </c>
      <c r="E37" s="1">
        <f>D37/D31*100</f>
        <v>18.597315499815263</v>
      </c>
      <c r="F37" s="1">
        <f t="shared" si="3"/>
        <v>96.13338121041957</v>
      </c>
      <c r="G37" s="1">
        <f t="shared" si="0"/>
        <v>89.34650040957477</v>
      </c>
      <c r="H37" s="1">
        <f>B37-D37</f>
        <v>236.90000000001328</v>
      </c>
      <c r="I37" s="1">
        <f t="shared" si="1"/>
        <v>702.300000000012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f>792.7+6.6+2.2</f>
        <v>801.5000000000001</v>
      </c>
      <c r="C41" s="53">
        <f>1079.9+40.7-300+6.6+2.2</f>
        <v>829.4000000000002</v>
      </c>
      <c r="D41" s="54">
        <f>39.9+10-0.1+63.8+32.1+23.9+51.2+20.3+38.8+26.2+1.3+95+24+3.6+45.4+22.4+25.7</f>
        <v>523.5</v>
      </c>
      <c r="E41" s="3">
        <f>D41/D137*100</f>
        <v>0.09627113305385954</v>
      </c>
      <c r="F41" s="3">
        <f>D41/B41*100</f>
        <v>65.31503431066749</v>
      </c>
      <c r="G41" s="3">
        <f t="shared" si="0"/>
        <v>63.11791656619241</v>
      </c>
      <c r="H41" s="3">
        <f t="shared" si="2"/>
        <v>278.0000000000001</v>
      </c>
      <c r="I41" s="3">
        <f t="shared" si="1"/>
        <v>305.9000000000002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5585.7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</f>
        <v>5009.6</v>
      </c>
      <c r="E43" s="3">
        <f>D43/D137*100</f>
        <v>0.9212604931167427</v>
      </c>
      <c r="F43" s="3">
        <f>D43/B43*100</f>
        <v>89.68616288021198</v>
      </c>
      <c r="G43" s="3">
        <f aca="true" t="shared" si="4" ref="G43:G73">D43/C43*100</f>
        <v>82.05464194457186</v>
      </c>
      <c r="H43" s="3">
        <f>B43-D43</f>
        <v>576.0999999999995</v>
      </c>
      <c r="I43" s="3">
        <f aca="true" t="shared" si="5" ref="I43:I74">C43-D43</f>
        <v>1095.5999999999995</v>
      </c>
    </row>
    <row r="44" spans="1:9" ht="18">
      <c r="A44" s="29" t="s">
        <v>3</v>
      </c>
      <c r="B44" s="49">
        <v>4933.8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</f>
        <v>4581.599999999999</v>
      </c>
      <c r="E44" s="1">
        <f>D44/D43*100</f>
        <v>91.4564037048866</v>
      </c>
      <c r="F44" s="1">
        <f aca="true" t="shared" si="6" ref="F44:F71">D44/B44*100</f>
        <v>92.86148607564148</v>
      </c>
      <c r="G44" s="1">
        <f t="shared" si="4"/>
        <v>85.48718140090307</v>
      </c>
      <c r="H44" s="1">
        <f aca="true" t="shared" si="7" ref="H44:H71">B44-D44</f>
        <v>352.2000000000007</v>
      </c>
      <c r="I44" s="1">
        <f t="shared" si="5"/>
        <v>777.8000000000011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0.019961673586713507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36.6</v>
      </c>
      <c r="C46" s="50">
        <f>35.1+9.9</f>
        <v>45</v>
      </c>
      <c r="D46" s="51">
        <f>3.2+3.4-0.1+3.7+3.6+3.5+3.2+5.6+1.4</f>
        <v>27.499999999999993</v>
      </c>
      <c r="E46" s="1">
        <f>D46/D43*100</f>
        <v>0.5489460236346213</v>
      </c>
      <c r="F46" s="1">
        <f t="shared" si="6"/>
        <v>75.1366120218579</v>
      </c>
      <c r="G46" s="1">
        <f t="shared" si="4"/>
        <v>61.11111111111109</v>
      </c>
      <c r="H46" s="1">
        <f t="shared" si="7"/>
        <v>9.100000000000009</v>
      </c>
      <c r="I46" s="1">
        <f t="shared" si="5"/>
        <v>17.500000000000007</v>
      </c>
    </row>
    <row r="47" spans="1:9" ht="18">
      <c r="A47" s="29" t="s">
        <v>0</v>
      </c>
      <c r="B47" s="49">
        <v>317.3</v>
      </c>
      <c r="C47" s="50">
        <f>358+23.1+0.1</f>
        <v>381.20000000000005</v>
      </c>
      <c r="D47" s="51">
        <f>23.1+2.7+0.5+0.4+5.2+0.6+99.9+12.6+20.5-0.1+2+19.6+1.1+0.5+4.4+0.4+3.4+4+2.3+0.3+1.3+0.1+0.3+0.5+5.1+9.3</f>
        <v>220.00000000000006</v>
      </c>
      <c r="E47" s="1">
        <f>D47/D43*100</f>
        <v>4.391568189076973</v>
      </c>
      <c r="F47" s="1">
        <f t="shared" si="6"/>
        <v>69.335014182162</v>
      </c>
      <c r="G47" s="1">
        <f t="shared" si="4"/>
        <v>57.71248688352571</v>
      </c>
      <c r="H47" s="1">
        <f t="shared" si="7"/>
        <v>97.29999999999995</v>
      </c>
      <c r="I47" s="1">
        <f t="shared" si="5"/>
        <v>161.2</v>
      </c>
    </row>
    <row r="48" spans="1:9" ht="18.75" thickBot="1">
      <c r="A48" s="29" t="s">
        <v>35</v>
      </c>
      <c r="B48" s="50">
        <f>B43-B44-B47-B46-B45</f>
        <v>296.9999999999996</v>
      </c>
      <c r="C48" s="50">
        <f>C43-C44-C47-C46-C45</f>
        <v>318.5999999999992</v>
      </c>
      <c r="D48" s="50">
        <f>D43-D44-D47-D46-D45</f>
        <v>179.50000000000085</v>
      </c>
      <c r="E48" s="1">
        <f>D48/D43*100</f>
        <v>3.5831204088150916</v>
      </c>
      <c r="F48" s="1">
        <f t="shared" si="6"/>
        <v>60.4377104377108</v>
      </c>
      <c r="G48" s="1">
        <f t="shared" si="4"/>
        <v>56.34023854362877</v>
      </c>
      <c r="H48" s="1">
        <f t="shared" si="7"/>
        <v>117.49999999999875</v>
      </c>
      <c r="I48" s="1">
        <f t="shared" si="5"/>
        <v>139.09999999999837</v>
      </c>
    </row>
    <row r="49" spans="1:9" ht="18.75" thickBot="1">
      <c r="A49" s="28" t="s">
        <v>4</v>
      </c>
      <c r="B49" s="52">
        <v>11077.2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</f>
        <v>9878.800000000001</v>
      </c>
      <c r="E49" s="3">
        <f>D49/D137*100</f>
        <v>1.816701564875774</v>
      </c>
      <c r="F49" s="3">
        <f>D49/B49*100</f>
        <v>89.18138157657171</v>
      </c>
      <c r="G49" s="3">
        <f t="shared" si="4"/>
        <v>81.37262977545676</v>
      </c>
      <c r="H49" s="3">
        <f>B49-D49</f>
        <v>1198.3999999999996</v>
      </c>
      <c r="I49" s="3">
        <f t="shared" si="5"/>
        <v>2261.399999999998</v>
      </c>
    </row>
    <row r="50" spans="1:9" ht="18">
      <c r="A50" s="29" t="s">
        <v>3</v>
      </c>
      <c r="B50" s="49">
        <f>6894.1+108.8</f>
        <v>7002.900000000001</v>
      </c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</f>
        <v>6593.299999999998</v>
      </c>
      <c r="E50" s="1">
        <f>D50/D49*100</f>
        <v>66.74191197311413</v>
      </c>
      <c r="F50" s="1">
        <f t="shared" si="6"/>
        <v>94.15099458795638</v>
      </c>
      <c r="G50" s="1">
        <f t="shared" si="4"/>
        <v>86.35512305012375</v>
      </c>
      <c r="H50" s="1">
        <f t="shared" si="7"/>
        <v>409.6000000000022</v>
      </c>
      <c r="I50" s="1">
        <f t="shared" si="5"/>
        <v>1041.800000000002</v>
      </c>
    </row>
    <row r="51" spans="1:9" ht="18">
      <c r="A51" s="29" t="s">
        <v>2</v>
      </c>
      <c r="B51" s="49">
        <v>9.7</v>
      </c>
      <c r="C51" s="50">
        <v>9.7</v>
      </c>
      <c r="D51" s="51">
        <f>0.5+0.8+0.8+2.2</f>
        <v>4.300000000000001</v>
      </c>
      <c r="E51" s="12">
        <f>D51/D49*100</f>
        <v>0.043527553953921536</v>
      </c>
      <c r="F51" s="1">
        <f t="shared" si="6"/>
        <v>44.3298969072165</v>
      </c>
      <c r="G51" s="1">
        <f t="shared" si="4"/>
        <v>44.3298969072165</v>
      </c>
      <c r="H51" s="1">
        <f t="shared" si="7"/>
        <v>5.399999999999999</v>
      </c>
      <c r="I51" s="1">
        <f t="shared" si="5"/>
        <v>5.399999999999999</v>
      </c>
    </row>
    <row r="52" spans="1:9" ht="18">
      <c r="A52" s="29" t="s">
        <v>1</v>
      </c>
      <c r="B52" s="49">
        <v>287.8</v>
      </c>
      <c r="C52" s="50">
        <f>325-2</f>
        <v>323</v>
      </c>
      <c r="D52" s="51">
        <f>2.4+4.2+4.2+8.7+3.1+5.2-0.1+2.3+6.7+7.1+0.1+3.9+3.5+21.5+2.5-0.1+4.3+17.5+11.1+0.7-0.1+5.1+1.5+0.9+0.1+4.4+2.8+10.2+1.2+17.9+18.8</f>
        <v>171.60000000000002</v>
      </c>
      <c r="E52" s="1">
        <f>D52/D49*100</f>
        <v>1.73705308337045</v>
      </c>
      <c r="F52" s="1">
        <f t="shared" si="6"/>
        <v>59.624739402362756</v>
      </c>
      <c r="G52" s="1">
        <f t="shared" si="4"/>
        <v>53.12693498452013</v>
      </c>
      <c r="H52" s="1">
        <f t="shared" si="7"/>
        <v>116.19999999999999</v>
      </c>
      <c r="I52" s="1">
        <f t="shared" si="5"/>
        <v>151.39999999999998</v>
      </c>
    </row>
    <row r="53" spans="1:9" ht="18">
      <c r="A53" s="29" t="s">
        <v>0</v>
      </c>
      <c r="B53" s="49">
        <v>416.2</v>
      </c>
      <c r="C53" s="50">
        <f>534.1-3+2</f>
        <v>533.1</v>
      </c>
      <c r="D53" s="51">
        <f>6+11+5+10.4+0.1+20.8+16+0.1+76.5+39.2+7.7+0.3+8.1+0.1+0.2+12-0.1+0.1+4.7+0.1+6.4+2.7+8.2+0.3+5.7+1.7+0.9+0.1+5.2+0.5+0.2+3+0.1-0.1+0.5+6.4+7.8</f>
        <v>267.89999999999986</v>
      </c>
      <c r="E53" s="1">
        <f>D53/D49*100</f>
        <v>2.7118678381989696</v>
      </c>
      <c r="F53" s="1">
        <f t="shared" si="6"/>
        <v>64.36809226333492</v>
      </c>
      <c r="G53" s="1">
        <f t="shared" si="4"/>
        <v>50.253235790658394</v>
      </c>
      <c r="H53" s="1">
        <f t="shared" si="7"/>
        <v>148.30000000000013</v>
      </c>
      <c r="I53" s="1">
        <f t="shared" si="5"/>
        <v>265.20000000000016</v>
      </c>
    </row>
    <row r="54" spans="1:9" ht="18.75" thickBot="1">
      <c r="A54" s="29" t="s">
        <v>35</v>
      </c>
      <c r="B54" s="50">
        <f>B49-B50-B53-B52-B51</f>
        <v>3360.6000000000004</v>
      </c>
      <c r="C54" s="50">
        <f>C49-C50-C53-C52-C51</f>
        <v>3639.299999999999</v>
      </c>
      <c r="D54" s="50">
        <f>D49-D50-D53-D52-D51</f>
        <v>2841.700000000003</v>
      </c>
      <c r="E54" s="1">
        <f>D54/D49*100</f>
        <v>28.765639551362543</v>
      </c>
      <c r="F54" s="1">
        <f t="shared" si="6"/>
        <v>84.55930488603234</v>
      </c>
      <c r="G54" s="1">
        <f t="shared" si="4"/>
        <v>78.08369741433803</v>
      </c>
      <c r="H54" s="1">
        <f t="shared" si="7"/>
        <v>518.8999999999974</v>
      </c>
      <c r="I54" s="1">
        <f>C54-D54</f>
        <v>797.5999999999958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2939.7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</f>
        <v>2737.8000000000006</v>
      </c>
      <c r="E56" s="3">
        <f>D56/D137*100</f>
        <v>0.5034787164753709</v>
      </c>
      <c r="F56" s="3">
        <f>D56/B56*100</f>
        <v>93.13195224002452</v>
      </c>
      <c r="G56" s="3">
        <f t="shared" si="4"/>
        <v>88.17391304347828</v>
      </c>
      <c r="H56" s="3">
        <f>B56-D56</f>
        <v>201.89999999999918</v>
      </c>
      <c r="I56" s="3">
        <f t="shared" si="5"/>
        <v>367.19999999999936</v>
      </c>
    </row>
    <row r="57" spans="1:9" ht="18">
      <c r="A57" s="29" t="s">
        <v>3</v>
      </c>
      <c r="B57" s="49">
        <v>1694.4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128-60.9+102.5+75.2+87.9+68.6+30+93+68.5+96.9-0.1+67+116.4+112.6+49.7+83+52.4+24.4+26.2+0.2+55.4+42.6+44.2+67.6+0.1+42.3+79.3+45.6</f>
        <v>1598.6</v>
      </c>
      <c r="E57" s="1">
        <f>D57/D56*100</f>
        <v>58.389948133537864</v>
      </c>
      <c r="F57" s="1">
        <f t="shared" si="6"/>
        <v>94.34608120868742</v>
      </c>
      <c r="G57" s="1">
        <f t="shared" si="4"/>
        <v>89.0039530092979</v>
      </c>
      <c r="H57" s="1">
        <f t="shared" si="7"/>
        <v>95.80000000000018</v>
      </c>
      <c r="I57" s="1">
        <f t="shared" si="5"/>
        <v>197.50000000000023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6.625757907809189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227.2</v>
      </c>
      <c r="C59" s="50">
        <f>297.4-9.5</f>
        <v>287.9</v>
      </c>
      <c r="D59" s="51">
        <f>4.5+4.5+30.5+35.2+10+24.5+10.2+0.1+1.9+1.8+3+1.2+0.9+0.8+1.4+0.5+1.9+5.3</f>
        <v>138.20000000000005</v>
      </c>
      <c r="E59" s="1">
        <f>D59/D56*100</f>
        <v>5.047848637592227</v>
      </c>
      <c r="F59" s="1">
        <f t="shared" si="6"/>
        <v>60.82746478873242</v>
      </c>
      <c r="G59" s="1">
        <f t="shared" si="4"/>
        <v>48.002778742618986</v>
      </c>
      <c r="H59" s="1">
        <f t="shared" si="7"/>
        <v>88.99999999999994</v>
      </c>
      <c r="I59" s="1">
        <f t="shared" si="5"/>
        <v>149.69999999999993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26.601650960625317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108.39999999999972</v>
      </c>
      <c r="C61" s="50">
        <f>C56-C57-C59-C60-C58</f>
        <v>111.29999999999981</v>
      </c>
      <c r="D61" s="50">
        <f>D56-D57-D59-D60-D58</f>
        <v>91.30000000000061</v>
      </c>
      <c r="E61" s="1">
        <f>D61/D56*100</f>
        <v>3.334794360435408</v>
      </c>
      <c r="F61" s="1">
        <f t="shared" si="6"/>
        <v>84.22509225092328</v>
      </c>
      <c r="G61" s="1">
        <f t="shared" si="4"/>
        <v>82.0305480682846</v>
      </c>
      <c r="H61" s="1">
        <f t="shared" si="7"/>
        <v>17.099999999999113</v>
      </c>
      <c r="I61" s="1">
        <f t="shared" si="5"/>
        <v>19.999999999999204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313.50000000000006</v>
      </c>
      <c r="C66" s="53">
        <f>C67+C68</f>
        <v>350.2</v>
      </c>
      <c r="D66" s="54">
        <f>SUM(D67:D68)</f>
        <v>1.4</v>
      </c>
      <c r="E66" s="42">
        <f>D66/D137*100</f>
        <v>0.000257458617527036</v>
      </c>
      <c r="F66" s="113">
        <f>D66/B66*100</f>
        <v>0.44657097288676223</v>
      </c>
      <c r="G66" s="3">
        <f t="shared" si="4"/>
        <v>0.3997715591090805</v>
      </c>
      <c r="H66" s="3">
        <f>B66-D66</f>
        <v>312.1000000000001</v>
      </c>
      <c r="I66" s="3">
        <f t="shared" si="5"/>
        <v>348.8</v>
      </c>
    </row>
    <row r="67" spans="1:9" ht="18">
      <c r="A67" s="29" t="s">
        <v>8</v>
      </c>
      <c r="B67" s="49">
        <f>314.1-6.4</f>
        <v>307.70000000000005</v>
      </c>
      <c r="C67" s="50">
        <f>257.4+70.7-6.4</f>
        <v>321.7</v>
      </c>
      <c r="D67" s="51">
        <f>1.4</f>
        <v>1.4</v>
      </c>
      <c r="E67" s="1"/>
      <c r="F67" s="1">
        <f t="shared" si="6"/>
        <v>0.4549886252843678</v>
      </c>
      <c r="G67" s="1">
        <f t="shared" si="4"/>
        <v>0.4351880634131178</v>
      </c>
      <c r="H67" s="1">
        <f t="shared" si="7"/>
        <v>306.30000000000007</v>
      </c>
      <c r="I67" s="1">
        <f t="shared" si="5"/>
        <v>320.3</v>
      </c>
    </row>
    <row r="68" spans="1:9" ht="18.75" thickBot="1">
      <c r="A68" s="29" t="s">
        <v>9</v>
      </c>
      <c r="B68" s="49">
        <f>24.9-4.6-14.5</f>
        <v>5.799999999999997</v>
      </c>
      <c r="C68" s="50">
        <f>202.6-17.6-66.7-70.7-4.6-14.5</f>
        <v>28.499999999999993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5.799999999999997</v>
      </c>
      <c r="I68" s="1">
        <f t="shared" si="5"/>
        <v>28.499999999999993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366.6</v>
      </c>
      <c r="C74" s="69">
        <v>400</v>
      </c>
      <c r="D74" s="70"/>
      <c r="E74" s="48"/>
      <c r="F74" s="48"/>
      <c r="G74" s="48"/>
      <c r="H74" s="48">
        <f>B74-D74</f>
        <v>366.6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41110.6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</f>
        <v>36837.3</v>
      </c>
      <c r="E87" s="3">
        <f>D87/D137*100</f>
        <v>6.774343093877631</v>
      </c>
      <c r="F87" s="3">
        <f aca="true" t="shared" si="10" ref="F87:F92">D87/B87*100</f>
        <v>89.60535725579291</v>
      </c>
      <c r="G87" s="3">
        <f t="shared" si="8"/>
        <v>83.56653826784085</v>
      </c>
      <c r="H87" s="3">
        <f aca="true" t="shared" si="11" ref="H87:H92">B87-D87</f>
        <v>4273.299999999996</v>
      </c>
      <c r="I87" s="3">
        <f t="shared" si="9"/>
        <v>7244.0999999999985</v>
      </c>
    </row>
    <row r="88" spans="1:9" ht="18">
      <c r="A88" s="29" t="s">
        <v>3</v>
      </c>
      <c r="B88" s="49">
        <f>34562.5-3</f>
        <v>34559.5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</f>
        <v>31931.299999999996</v>
      </c>
      <c r="E88" s="1">
        <f>D88/D87*100</f>
        <v>86.68197723503079</v>
      </c>
      <c r="F88" s="1">
        <f t="shared" si="10"/>
        <v>92.39514460568004</v>
      </c>
      <c r="G88" s="1">
        <f t="shared" si="8"/>
        <v>85.72989604364447</v>
      </c>
      <c r="H88" s="1">
        <f t="shared" si="11"/>
        <v>2628.2000000000044</v>
      </c>
      <c r="I88" s="1">
        <f t="shared" si="9"/>
        <v>5315.100000000006</v>
      </c>
    </row>
    <row r="89" spans="1:9" ht="18">
      <c r="A89" s="29" t="s">
        <v>33</v>
      </c>
      <c r="B89" s="49">
        <v>1723.8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125+55.5+51.3+1.7-0.1+10.4+5.3+280.6+162.7+2.2+25.3+117.8+56.8+64.4+1.4+31+7.8+37.2+1.9+36.4+8.8+1+3.9+10.1+30.1+1.8+10.7+4.2+23.3+14.3+12.2+6+2.6+0.2+2.5+21.4+6.2+3.4</f>
        <v>1237.3000000000002</v>
      </c>
      <c r="E89" s="1">
        <f>D89/D87*100</f>
        <v>3.358823800875743</v>
      </c>
      <c r="F89" s="1">
        <f t="shared" si="10"/>
        <v>71.77746838380324</v>
      </c>
      <c r="G89" s="1">
        <f t="shared" si="8"/>
        <v>67.60463337340184</v>
      </c>
      <c r="H89" s="1">
        <f t="shared" si="11"/>
        <v>486.4999999999998</v>
      </c>
      <c r="I89" s="1">
        <f t="shared" si="9"/>
        <v>592.8999999999996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4827.299999999998</v>
      </c>
      <c r="C91" s="50">
        <f>C87-C88-C89-C90</f>
        <v>5004.8</v>
      </c>
      <c r="D91" s="50">
        <f>D87-D88-D89-D90</f>
        <v>3668.700000000007</v>
      </c>
      <c r="E91" s="1">
        <f>D91/D87*100</f>
        <v>9.959198964093478</v>
      </c>
      <c r="F91" s="1">
        <f t="shared" si="10"/>
        <v>75.99900565533545</v>
      </c>
      <c r="G91" s="1">
        <f>D91/C91*100</f>
        <v>73.30362851662417</v>
      </c>
      <c r="H91" s="1">
        <f t="shared" si="11"/>
        <v>1158.5999999999913</v>
      </c>
      <c r="I91" s="1">
        <f>C91-D91</f>
        <v>1336.099999999993</v>
      </c>
    </row>
    <row r="92" spans="1:9" ht="19.5" thickBot="1">
      <c r="A92" s="14" t="s">
        <v>12</v>
      </c>
      <c r="B92" s="61">
        <f>40945.9-360</f>
        <v>40585.9</v>
      </c>
      <c r="C92" s="72">
        <f>39290.3+3989.1-27-360</f>
        <v>42892.4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</f>
        <v>31789.000000000007</v>
      </c>
      <c r="E92" s="3">
        <f>D92/D137*100</f>
        <v>5.845965708976393</v>
      </c>
      <c r="F92" s="3">
        <f t="shared" si="10"/>
        <v>78.32523117634452</v>
      </c>
      <c r="G92" s="3">
        <f>D92/C92*100</f>
        <v>74.11336274025237</v>
      </c>
      <c r="H92" s="3">
        <f t="shared" si="11"/>
        <v>8796.899999999994</v>
      </c>
      <c r="I92" s="3">
        <f>C92-D92</f>
        <v>11103.399999999994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5770.6+358-2.2</f>
        <v>6126.400000000001</v>
      </c>
      <c r="C98" s="106">
        <f>5290.2+873.6+17.6+66.7+358-2.2</f>
        <v>6603.900000000001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</f>
        <v>4791.399999999998</v>
      </c>
      <c r="E98" s="25">
        <f>D98/D137*100</f>
        <v>0.8811337285850285</v>
      </c>
      <c r="F98" s="25">
        <f>D98/B98*100</f>
        <v>78.20906241838595</v>
      </c>
      <c r="G98" s="25">
        <f aca="true" t="shared" si="12" ref="G98:G135">D98/C98*100</f>
        <v>72.55409682157509</v>
      </c>
      <c r="H98" s="25">
        <f aca="true" t="shared" si="13" ref="H98:H103">B98-D98</f>
        <v>1335.0000000000027</v>
      </c>
      <c r="I98" s="25">
        <f aca="true" t="shared" si="14" ref="I98:I135">C98-D98</f>
        <v>1812.5000000000027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0.3172350461243062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5357.1+354.8-2.2</f>
        <v>5709.700000000001</v>
      </c>
      <c r="C100" s="51">
        <f>5711.4+17.6+66.7-0.6-0.1+354.8-2.2</f>
        <v>6147.599999999999</v>
      </c>
      <c r="D100" s="51">
        <f>3302.1+5.1+16.7+151+216.3+17.4+13.8+53.7+7.6+119.5+15.5+6.4+75+28.9+153.8+9.3+9.1+11.7+14.3+26.2+6.6+3.9+0.2+30.1+4+24.7+86.2</f>
        <v>4409.1</v>
      </c>
      <c r="E100" s="1">
        <f>D100/D98*100</f>
        <v>92.02112117543938</v>
      </c>
      <c r="F100" s="1">
        <f aca="true" t="shared" si="15" ref="F100:F135">D100/B100*100</f>
        <v>77.22122002907332</v>
      </c>
      <c r="G100" s="1">
        <f t="shared" si="12"/>
        <v>71.7206714815538</v>
      </c>
      <c r="H100" s="1">
        <f t="shared" si="13"/>
        <v>1300.6000000000004</v>
      </c>
      <c r="I100" s="1">
        <f t="shared" si="14"/>
        <v>1738.499999999999</v>
      </c>
    </row>
    <row r="101" spans="1:9" ht="54.75" thickBot="1">
      <c r="A101" s="99" t="s">
        <v>107</v>
      </c>
      <c r="B101" s="101">
        <v>413.7</v>
      </c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5.027758066535879</v>
      </c>
      <c r="F101" s="97">
        <f>D101/B101*100</f>
        <v>58.23060188542423</v>
      </c>
      <c r="G101" s="97">
        <f>D101/C101*100</f>
        <v>52.35818300369486</v>
      </c>
      <c r="H101" s="97">
        <f t="shared" si="13"/>
        <v>172.79999999999995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401.5</v>
      </c>
      <c r="C102" s="101">
        <f>C98-C99-C100</f>
        <v>441.1000000000013</v>
      </c>
      <c r="D102" s="101">
        <f>D98-D99-D100</f>
        <v>367.09999999999764</v>
      </c>
      <c r="E102" s="97">
        <f>D102/D98*100</f>
        <v>7.66164377843632</v>
      </c>
      <c r="F102" s="97">
        <f t="shared" si="15"/>
        <v>91.4321295143207</v>
      </c>
      <c r="G102" s="97">
        <f t="shared" si="12"/>
        <v>83.22375878485526</v>
      </c>
      <c r="H102" s="97">
        <f>B102-D102</f>
        <v>34.400000000002365</v>
      </c>
      <c r="I102" s="97">
        <f t="shared" si="14"/>
        <v>74.00000000000364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16638.399999999998</v>
      </c>
      <c r="C103" s="94">
        <f>SUM(C104:C134)-C111-C115+C135-C130-C131-C105-C108-C118-C119</f>
        <v>17171.699999999997</v>
      </c>
      <c r="D103" s="94">
        <f>SUM(D104:D134)-D111-D115+D135-D130-D131-D105-D108-D118-D119</f>
        <v>13141.900000000001</v>
      </c>
      <c r="E103" s="95">
        <f>D103/D137*100</f>
        <v>2.416782432627539</v>
      </c>
      <c r="F103" s="95">
        <f>D103/B103*100</f>
        <v>78.98535916915091</v>
      </c>
      <c r="G103" s="95">
        <f t="shared" si="12"/>
        <v>76.53231770878833</v>
      </c>
      <c r="H103" s="95">
        <f t="shared" si="13"/>
        <v>3496.4999999999964</v>
      </c>
      <c r="I103" s="95">
        <f t="shared" si="14"/>
        <v>4029.7999999999956</v>
      </c>
    </row>
    <row r="104" spans="1:9" ht="37.5">
      <c r="A104" s="34" t="s">
        <v>69</v>
      </c>
      <c r="B104" s="79">
        <v>1262</v>
      </c>
      <c r="C104" s="75">
        <f>1869.9-400</f>
        <v>1469.9</v>
      </c>
      <c r="D104" s="80">
        <f>1.4+20.1+85.2+143.2+49+97.4+39.5+2.1+10+69.9+14+22.7+50+22.1+4.6+24.2+39.7+15.7</f>
        <v>710.8000000000002</v>
      </c>
      <c r="E104" s="6">
        <f>D104/D103*100</f>
        <v>5.40865476072714</v>
      </c>
      <c r="F104" s="6">
        <f t="shared" si="15"/>
        <v>56.323296354992095</v>
      </c>
      <c r="G104" s="6">
        <f t="shared" si="12"/>
        <v>48.35703109055039</v>
      </c>
      <c r="H104" s="6">
        <f aca="true" t="shared" si="16" ref="H104:H135">B104-D104</f>
        <v>551.1999999999998</v>
      </c>
      <c r="I104" s="6">
        <f t="shared" si="14"/>
        <v>759.0999999999999</v>
      </c>
    </row>
    <row r="105" spans="1:9" ht="18">
      <c r="A105" s="29" t="s">
        <v>33</v>
      </c>
      <c r="B105" s="82">
        <v>746.3</v>
      </c>
      <c r="C105" s="51">
        <f>1242.6+0.7-337</f>
        <v>906.3</v>
      </c>
      <c r="D105" s="83">
        <f>1.4+85.2+143.2+49+2.1+10+14+22.7+19.6+15.7</f>
        <v>362.90000000000003</v>
      </c>
      <c r="E105" s="1"/>
      <c r="F105" s="1">
        <f t="shared" si="15"/>
        <v>48.62655768457726</v>
      </c>
      <c r="G105" s="1">
        <f t="shared" si="12"/>
        <v>40.04192872117401</v>
      </c>
      <c r="H105" s="1">
        <f t="shared" si="16"/>
        <v>383.3999999999999</v>
      </c>
      <c r="I105" s="1">
        <f t="shared" si="14"/>
        <v>543.3999999999999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4.7+37.5+79.8+33.7</f>
        <v>155.7</v>
      </c>
      <c r="E106" s="6">
        <f>D106/D103*100</f>
        <v>1.1847601944924246</v>
      </c>
      <c r="F106" s="6">
        <f>D106/B106*100</f>
        <v>18.15743440233236</v>
      </c>
      <c r="G106" s="6">
        <f t="shared" si="12"/>
        <v>18.15743440233236</v>
      </c>
      <c r="H106" s="6">
        <f t="shared" si="16"/>
        <v>701.8</v>
      </c>
      <c r="I106" s="6">
        <f t="shared" si="14"/>
        <v>701.8</v>
      </c>
    </row>
    <row r="107" spans="1:9" ht="34.5" customHeight="1">
      <c r="A107" s="17" t="s">
        <v>78</v>
      </c>
      <c r="B107" s="81">
        <v>60</v>
      </c>
      <c r="C107" s="68">
        <f>36.5+27</f>
        <v>63.5</v>
      </c>
      <c r="D107" s="80">
        <f>7.4</f>
        <v>7.4</v>
      </c>
      <c r="E107" s="6">
        <f>D107/D103*100</f>
        <v>0.05630844855005745</v>
      </c>
      <c r="F107" s="6">
        <f t="shared" si="15"/>
        <v>12.333333333333334</v>
      </c>
      <c r="G107" s="6">
        <f t="shared" si="12"/>
        <v>11.653543307086615</v>
      </c>
      <c r="H107" s="6">
        <f t="shared" si="16"/>
        <v>52.6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69.1</v>
      </c>
      <c r="C109" s="68">
        <v>75.5</v>
      </c>
      <c r="D109" s="80">
        <f>5.5+5.5+5.5-0.1+5.5+5.5+5.5+5.5-0.1+5.5+5.5-0.1+5.5</f>
        <v>54.699999999999996</v>
      </c>
      <c r="E109" s="6">
        <f>D109/D103*100</f>
        <v>0.4162259642821814</v>
      </c>
      <c r="F109" s="6">
        <f t="shared" si="15"/>
        <v>79.16063675832127</v>
      </c>
      <c r="G109" s="6">
        <f t="shared" si="12"/>
        <v>72.4503311258278</v>
      </c>
      <c r="H109" s="6">
        <f t="shared" si="16"/>
        <v>14.399999999999999</v>
      </c>
      <c r="I109" s="6">
        <f t="shared" si="14"/>
        <v>20.800000000000004</v>
      </c>
    </row>
    <row r="110" spans="1:9" ht="37.5">
      <c r="A110" s="17" t="s">
        <v>47</v>
      </c>
      <c r="B110" s="81">
        <v>959.1</v>
      </c>
      <c r="C110" s="68">
        <v>1050</v>
      </c>
      <c r="D110" s="80">
        <f>149.7+2.5+4.1+81.3+2.1+67.3+8+8.2+93.7+3.3+1.1+74.6+81.4+0.6+75.3+2.1+80.5+10.7+71.3+4</f>
        <v>821.8</v>
      </c>
      <c r="E110" s="6">
        <f>D110/D103*100</f>
        <v>6.253281488978001</v>
      </c>
      <c r="F110" s="6">
        <f t="shared" si="15"/>
        <v>85.68449588155562</v>
      </c>
      <c r="G110" s="6">
        <f t="shared" si="12"/>
        <v>78.26666666666667</v>
      </c>
      <c r="H110" s="6">
        <f t="shared" si="16"/>
        <v>137.30000000000007</v>
      </c>
      <c r="I110" s="6">
        <f t="shared" si="14"/>
        <v>228.20000000000005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64.5</v>
      </c>
      <c r="C112" s="60">
        <f>51.6+22.9-10</f>
        <v>64.5</v>
      </c>
      <c r="D112" s="84">
        <f>22.9</f>
        <v>22.9</v>
      </c>
      <c r="E112" s="19">
        <f>D112/D103*100</f>
        <v>0.17425182051301558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216.3</v>
      </c>
      <c r="C113" s="68">
        <f>488.6-250</f>
        <v>238.60000000000002</v>
      </c>
      <c r="D113" s="80">
        <f>4.9+70</f>
        <v>74.9</v>
      </c>
      <c r="E113" s="6">
        <f>D113/D103*100</f>
        <v>0.5699328103242302</v>
      </c>
      <c r="F113" s="6">
        <f>D113/B113*100</f>
        <v>34.627831715210355</v>
      </c>
      <c r="G113" s="6">
        <f t="shared" si="12"/>
        <v>31.391450125733446</v>
      </c>
      <c r="H113" s="6">
        <f t="shared" si="16"/>
        <v>141.4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178</v>
      </c>
      <c r="C114" s="60">
        <f>153.4+26.9</f>
        <v>180.3</v>
      </c>
      <c r="D114" s="80">
        <f>13.5+13.4+14.3+0.8+6.9+0.4+13.5-0.1+0.8+0.5+2+13.5-0.1+0.1+13.9+0.3+2.4+13.5+0.3+6.3+13.5+3.9+0.8+13.5</f>
        <v>147.9</v>
      </c>
      <c r="E114" s="6">
        <f>D114/D103*100</f>
        <v>1.1254080460207427</v>
      </c>
      <c r="F114" s="6">
        <f t="shared" si="15"/>
        <v>83.08988764044945</v>
      </c>
      <c r="G114" s="6">
        <f t="shared" si="12"/>
        <v>82.02995008319466</v>
      </c>
      <c r="H114" s="6">
        <f t="shared" si="16"/>
        <v>30.099999999999994</v>
      </c>
      <c r="I114" s="6">
        <f t="shared" si="14"/>
        <v>32.400000000000006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13.5+13.4+13.5+13.5+13.4+13.5+13.5+13.5+13.5</f>
        <v>121.3</v>
      </c>
      <c r="E115" s="1"/>
      <c r="F115" s="1">
        <f t="shared" si="15"/>
        <v>81.84885290148448</v>
      </c>
      <c r="G115" s="1">
        <f t="shared" si="12"/>
        <v>81.84885290148448</v>
      </c>
      <c r="H115" s="1">
        <f t="shared" si="16"/>
        <v>26.89999999999999</v>
      </c>
      <c r="I115" s="1">
        <f t="shared" si="14"/>
        <v>26.89999999999999</v>
      </c>
    </row>
    <row r="116" spans="1:9" s="2" customFormat="1" ht="18.75">
      <c r="A116" s="17" t="s">
        <v>25</v>
      </c>
      <c r="B116" s="81">
        <v>291.7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291.7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734.7</v>
      </c>
      <c r="C117" s="60">
        <f>94.7+700</f>
        <v>794.7</v>
      </c>
      <c r="D117" s="84">
        <f>16.2+3.7+20.7+6.7+10.5</f>
        <v>57.8</v>
      </c>
      <c r="E117" s="19">
        <f>D117/D103*100</f>
        <v>0.439814638674773</v>
      </c>
      <c r="F117" s="6">
        <f t="shared" si="15"/>
        <v>7.867156662583366</v>
      </c>
      <c r="G117" s="6">
        <f t="shared" si="12"/>
        <v>7.27318484962879</v>
      </c>
      <c r="H117" s="6">
        <f t="shared" si="16"/>
        <v>676.9000000000001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f>1661.4+19</f>
        <v>1680.4</v>
      </c>
      <c r="C120" s="60">
        <v>1700.1</v>
      </c>
      <c r="D120" s="84">
        <f>196.6+25+11.8+12.7+6.1+3.1+261.8+113.5+10.8+196.3+110+87.9+5.6+129.1+50</f>
        <v>1220.3</v>
      </c>
      <c r="E120" s="19">
        <f>D120/D103*100</f>
        <v>9.285567535896634</v>
      </c>
      <c r="F120" s="6">
        <f t="shared" si="15"/>
        <v>72.61961437752915</v>
      </c>
      <c r="G120" s="6">
        <f t="shared" si="12"/>
        <v>71.77813069819422</v>
      </c>
      <c r="H120" s="6">
        <f t="shared" si="16"/>
        <v>460.10000000000014</v>
      </c>
      <c r="I120" s="6">
        <f t="shared" si="14"/>
        <v>479.79999999999995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0.03348069913787199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0.37437509035984134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0.3507864159672498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178.8</v>
      </c>
      <c r="C125" s="60">
        <v>178.8</v>
      </c>
      <c r="D125" s="84">
        <f>7.2+1.4+9.3+6.8+7.7+4.3+1.8+6+21.8+13.1+2.5+17+2.4+20.7+0.2+12.9+12.9</f>
        <v>148</v>
      </c>
      <c r="E125" s="19">
        <f>D125/D103*100</f>
        <v>1.1261689710011489</v>
      </c>
      <c r="F125" s="6">
        <f t="shared" si="15"/>
        <v>82.77404921700223</v>
      </c>
      <c r="G125" s="6">
        <f t="shared" si="12"/>
        <v>82.77404921700223</v>
      </c>
      <c r="H125" s="6">
        <f t="shared" si="16"/>
        <v>30.80000000000001</v>
      </c>
      <c r="I125" s="6">
        <f t="shared" si="14"/>
        <v>30.80000000000001</v>
      </c>
    </row>
    <row r="126" spans="1:9" s="2" customFormat="1" ht="35.25" customHeight="1">
      <c r="A126" s="17" t="s">
        <v>74</v>
      </c>
      <c r="B126" s="81">
        <v>64.1</v>
      </c>
      <c r="C126" s="60">
        <v>67.6</v>
      </c>
      <c r="D126" s="84">
        <f>0.5+1.5+0.1+14.8</f>
        <v>16.900000000000002</v>
      </c>
      <c r="E126" s="19">
        <f>D126/D103*100</f>
        <v>0.1285963216886447</v>
      </c>
      <c r="F126" s="6">
        <f t="shared" si="15"/>
        <v>26.36505460218409</v>
      </c>
      <c r="G126" s="6">
        <f t="shared" si="12"/>
        <v>25.000000000000007</v>
      </c>
      <c r="H126" s="6">
        <f t="shared" si="16"/>
        <v>47.19999999999999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798.4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</f>
        <v>751.3000000000003</v>
      </c>
      <c r="E129" s="19">
        <f>D129/D103*100</f>
        <v>5.716829377791645</v>
      </c>
      <c r="F129" s="6">
        <f t="shared" si="15"/>
        <v>94.10070140280565</v>
      </c>
      <c r="G129" s="6">
        <f t="shared" si="12"/>
        <v>86.53536051601016</v>
      </c>
      <c r="H129" s="6">
        <f t="shared" si="16"/>
        <v>47.09999999999968</v>
      </c>
      <c r="I129" s="6">
        <f t="shared" si="14"/>
        <v>116.89999999999975</v>
      </c>
    </row>
    <row r="130" spans="1:9" s="39" customFormat="1" ht="18">
      <c r="A130" s="40" t="s">
        <v>54</v>
      </c>
      <c r="B130" s="82">
        <v>690.1</v>
      </c>
      <c r="C130" s="51">
        <v>747.1</v>
      </c>
      <c r="D130" s="83">
        <f>21.4+1.2+34.6+22.6+31.2+22.6+44.8+0.2+32.7+30.6+29.7+33.6+24.3+38.4+29.7+36.6+5.6+24.5+36.9+39.8+25+0.6+28.8+33.8+33.8</f>
        <v>662.9999999999999</v>
      </c>
      <c r="E130" s="1">
        <f>D130/D129*100</f>
        <v>88.24703846665774</v>
      </c>
      <c r="F130" s="1">
        <f>D130/B130*100</f>
        <v>96.07303289378349</v>
      </c>
      <c r="G130" s="1">
        <f t="shared" si="12"/>
        <v>88.74314014188192</v>
      </c>
      <c r="H130" s="1">
        <f t="shared" si="16"/>
        <v>27.100000000000136</v>
      </c>
      <c r="I130" s="1">
        <f t="shared" si="14"/>
        <v>84.10000000000014</v>
      </c>
    </row>
    <row r="131" spans="1:9" s="39" customFormat="1" ht="18">
      <c r="A131" s="29" t="s">
        <v>33</v>
      </c>
      <c r="B131" s="82">
        <v>19.9</v>
      </c>
      <c r="C131" s="51">
        <f>27.4-3</f>
        <v>24.4</v>
      </c>
      <c r="D131" s="83">
        <f>3.4+3+2.7+1.6-0.1+0.1+0.1+0.1+0.1+0.1+1.3</f>
        <v>12.4</v>
      </c>
      <c r="E131" s="1">
        <f>D131/D129*100</f>
        <v>1.6504725143085313</v>
      </c>
      <c r="F131" s="1">
        <f>D131/B131*100</f>
        <v>62.311557788944725</v>
      </c>
      <c r="G131" s="1">
        <f>D131/C131*100</f>
        <v>50.81967213114754</v>
      </c>
      <c r="H131" s="1">
        <f t="shared" si="16"/>
        <v>7.499999999999998</v>
      </c>
      <c r="I131" s="1">
        <f t="shared" si="14"/>
        <v>11.999999999999998</v>
      </c>
    </row>
    <row r="132" spans="1:9" s="2" customFormat="1" ht="18.75">
      <c r="A132" s="17" t="s">
        <v>27</v>
      </c>
      <c r="B132" s="81">
        <v>8376</v>
      </c>
      <c r="C132" s="60">
        <v>8376</v>
      </c>
      <c r="D132" s="84">
        <f>1513.1+580.9+2094+2094+2094</f>
        <v>8376</v>
      </c>
      <c r="E132" s="19">
        <f>D132/D103*100</f>
        <v>63.73507635882177</v>
      </c>
      <c r="F132" s="6">
        <f t="shared" si="15"/>
        <v>100</v>
      </c>
      <c r="G132" s="6">
        <f t="shared" si="12"/>
        <v>100</v>
      </c>
      <c r="H132" s="6">
        <f t="shared" si="16"/>
        <v>0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3.6204810567726127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>
        <v>10.6</v>
      </c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10.6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24246.399999999998</v>
      </c>
      <c r="C136" s="85">
        <f>C41+C66+C69+C74+C76+C84+C98+C103+C96+C81+C94</f>
        <v>25355.199999999997</v>
      </c>
      <c r="D136" s="60">
        <f>D41+D66+D69+D74+D76+D84+D98+D103+D96+D81+D94</f>
        <v>18458.199999999997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594652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543776.7100000001</v>
      </c>
      <c r="E137" s="38">
        <v>100</v>
      </c>
      <c r="F137" s="3">
        <f>D137/B137*100</f>
        <v>91.4445272192812</v>
      </c>
      <c r="G137" s="3">
        <f aca="true" t="shared" si="17" ref="G137:G143">D137/C137*100</f>
        <v>87.12139263054112</v>
      </c>
      <c r="H137" s="3">
        <f aca="true" t="shared" si="18" ref="H137:H143">B137-D137</f>
        <v>50875.28999999992</v>
      </c>
      <c r="I137" s="3">
        <f aca="true" t="shared" si="19" ref="I137:I143">C137-D137</f>
        <v>80383.08999999985</v>
      </c>
      <c r="K137" s="46"/>
      <c r="L137" s="47"/>
    </row>
    <row r="138" spans="1:12" ht="18.75">
      <c r="A138" s="23" t="s">
        <v>5</v>
      </c>
      <c r="B138" s="67">
        <f>B7+B18+B32+B50+B57+B88+B111+B115+B44+B130</f>
        <v>421092.8</v>
      </c>
      <c r="C138" s="67">
        <f>C7+C18+C32+C50+C57+C88+C111+C115+C44+C130</f>
        <v>431131.8</v>
      </c>
      <c r="D138" s="67">
        <f>D7+D18+D32+D50+D57+D88+D111+D115+D44+D130</f>
        <v>405440.9999999999</v>
      </c>
      <c r="E138" s="6">
        <f>D138/D137*100</f>
        <v>74.56019953484213</v>
      </c>
      <c r="F138" s="6">
        <f aca="true" t="shared" si="20" ref="F138:F149">D138/B138*100</f>
        <v>96.28305209682993</v>
      </c>
      <c r="G138" s="6">
        <f t="shared" si="17"/>
        <v>94.0410797811713</v>
      </c>
      <c r="H138" s="6">
        <f t="shared" si="18"/>
        <v>15651.800000000105</v>
      </c>
      <c r="I138" s="18">
        <f t="shared" si="19"/>
        <v>25690.800000000105</v>
      </c>
      <c r="K138" s="46"/>
      <c r="L138" s="47"/>
    </row>
    <row r="139" spans="1:12" ht="18.75">
      <c r="A139" s="23" t="s">
        <v>0</v>
      </c>
      <c r="B139" s="68">
        <f>B10+B21+B34+B53+B59+B89+B47+B131+B105+B108</f>
        <v>52304.80000000001</v>
      </c>
      <c r="C139" s="68">
        <f>C10+C21+C34+C53+C59+C89+C47+C131+C105+C108</f>
        <v>64486.299999999996</v>
      </c>
      <c r="D139" s="68">
        <f>D10+D21+D34+D53+D59+D89+D47+D131+D105+D108</f>
        <v>38971.6</v>
      </c>
      <c r="E139" s="6">
        <f>D139/D137*100</f>
        <v>7.166838756297597</v>
      </c>
      <c r="F139" s="6">
        <f t="shared" si="20"/>
        <v>74.5086493017849</v>
      </c>
      <c r="G139" s="6">
        <f t="shared" si="17"/>
        <v>60.4339216236627</v>
      </c>
      <c r="H139" s="6">
        <f t="shared" si="18"/>
        <v>13333.200000000012</v>
      </c>
      <c r="I139" s="18">
        <f t="shared" si="19"/>
        <v>25514.699999999997</v>
      </c>
      <c r="K139" s="46"/>
      <c r="L139" s="103"/>
    </row>
    <row r="140" spans="1:12" ht="18.75">
      <c r="A140" s="23" t="s">
        <v>1</v>
      </c>
      <c r="B140" s="67">
        <f>B20+B9+B52+B46+B58+B33+B99+B119</f>
        <v>18646.6</v>
      </c>
      <c r="C140" s="67">
        <f>C20+C9+C52+C46+C58+C33+C99+C119</f>
        <v>20514.600000000002</v>
      </c>
      <c r="D140" s="67">
        <f>D20+D9+D52+D46+D58+D33+D99+D119</f>
        <v>17292.2</v>
      </c>
      <c r="E140" s="6">
        <f>D140/D137*100</f>
        <v>3.1800185042864375</v>
      </c>
      <c r="F140" s="6">
        <f t="shared" si="20"/>
        <v>92.73647742752031</v>
      </c>
      <c r="G140" s="6">
        <f t="shared" si="17"/>
        <v>84.29216265488968</v>
      </c>
      <c r="H140" s="6">
        <f t="shared" si="18"/>
        <v>1354.3999999999978</v>
      </c>
      <c r="I140" s="18">
        <f t="shared" si="19"/>
        <v>3222.4000000000015</v>
      </c>
      <c r="K140" s="46"/>
      <c r="L140" s="47"/>
    </row>
    <row r="141" spans="1:12" ht="21" customHeight="1">
      <c r="A141" s="23" t="s">
        <v>15</v>
      </c>
      <c r="B141" s="67">
        <f>B11+B22+B100+B60+B36+B90</f>
        <v>8024.200000000001</v>
      </c>
      <c r="C141" s="67">
        <f>C11+C22+C100+C60+C36+C90</f>
        <v>8561.3</v>
      </c>
      <c r="D141" s="67">
        <f>D11+D22+D100+D60+D36+D90</f>
        <v>6572.900000000001</v>
      </c>
      <c r="E141" s="6">
        <f>D141/D137*100</f>
        <v>1.2087498193881823</v>
      </c>
      <c r="F141" s="6">
        <f t="shared" si="20"/>
        <v>81.91346177812119</v>
      </c>
      <c r="G141" s="6">
        <f t="shared" si="17"/>
        <v>76.7745552661395</v>
      </c>
      <c r="H141" s="6">
        <f t="shared" si="18"/>
        <v>1451.3000000000002</v>
      </c>
      <c r="I141" s="18">
        <f t="shared" si="19"/>
        <v>1988.3999999999987</v>
      </c>
      <c r="K141" s="46"/>
      <c r="L141" s="103"/>
    </row>
    <row r="142" spans="1:12" ht="18.75">
      <c r="A142" s="23" t="s">
        <v>2</v>
      </c>
      <c r="B142" s="67">
        <f>B8+B19+B45+B51+B118</f>
        <v>7407</v>
      </c>
      <c r="C142" s="67">
        <f>C8+C19+C45+C51+C118</f>
        <v>7976.8</v>
      </c>
      <c r="D142" s="67">
        <f>D8+D19+D45+D51+D118</f>
        <v>5727.199999999998</v>
      </c>
      <c r="E142" s="6">
        <f>D142/D137*100</f>
        <v>1.0532264245006</v>
      </c>
      <c r="F142" s="6">
        <f t="shared" si="20"/>
        <v>77.32145267989736</v>
      </c>
      <c r="G142" s="6">
        <f t="shared" si="17"/>
        <v>71.79821482298664</v>
      </c>
      <c r="H142" s="6">
        <f t="shared" si="18"/>
        <v>1679.800000000002</v>
      </c>
      <c r="I142" s="18">
        <f t="shared" si="19"/>
        <v>2249.600000000002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87176.59999999999</v>
      </c>
      <c r="C143" s="67">
        <f>C137-C138-C139-C140-C141-C142</f>
        <v>91488.99999999994</v>
      </c>
      <c r="D143" s="67">
        <f>D137-D138-D139-D140-D141-D142</f>
        <v>69771.8100000002</v>
      </c>
      <c r="E143" s="6">
        <f>D143/D137*100</f>
        <v>12.830966960685055</v>
      </c>
      <c r="F143" s="6">
        <f t="shared" si="20"/>
        <v>80.03502086569127</v>
      </c>
      <c r="G143" s="43">
        <f t="shared" si="17"/>
        <v>76.26251243318896</v>
      </c>
      <c r="H143" s="6">
        <f t="shared" si="18"/>
        <v>17404.78999999979</v>
      </c>
      <c r="I143" s="6">
        <f t="shared" si="19"/>
        <v>21717.18999999974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65198.6+493.4-844.7</f>
        <v>64847.3</v>
      </c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</f>
        <v>20161.6</v>
      </c>
      <c r="E145" s="15"/>
      <c r="F145" s="6">
        <f t="shared" si="20"/>
        <v>31.090885819455856</v>
      </c>
      <c r="G145" s="6">
        <f aca="true" t="shared" si="21" ref="G145:G154">D145/C145*100</f>
        <v>29.05477168018653</v>
      </c>
      <c r="H145" s="6">
        <f>B145-D145</f>
        <v>44685.700000000004</v>
      </c>
      <c r="I145" s="6">
        <f aca="true" t="shared" si="22" ref="I145:I154">C145-D145</f>
        <v>49230.10000000001</v>
      </c>
      <c r="J145" s="105"/>
      <c r="K145" s="46"/>
      <c r="L145" s="46"/>
    </row>
    <row r="146" spans="1:12" ht="18.75">
      <c r="A146" s="23" t="s">
        <v>22</v>
      </c>
      <c r="B146" s="89">
        <f>27555.5-144.4+10.6</f>
        <v>27421.699999999997</v>
      </c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</f>
        <v>12945.000000000002</v>
      </c>
      <c r="E146" s="6"/>
      <c r="F146" s="6">
        <f t="shared" si="20"/>
        <v>47.20713887176945</v>
      </c>
      <c r="G146" s="6">
        <f t="shared" si="21"/>
        <v>46.537127244621004</v>
      </c>
      <c r="H146" s="6">
        <f aca="true" t="shared" si="23" ref="H146:H153">B146-D146</f>
        <v>14476.699999999995</v>
      </c>
      <c r="I146" s="6">
        <f t="shared" si="22"/>
        <v>14871.499999999998</v>
      </c>
      <c r="K146" s="46"/>
      <c r="L146" s="46"/>
    </row>
    <row r="147" spans="1:12" ht="18.75">
      <c r="A147" s="23" t="s">
        <v>63</v>
      </c>
      <c r="B147" s="89">
        <f>98040-349-1221+844.7</f>
        <v>97314.7</v>
      </c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</f>
        <v>25233.299999999996</v>
      </c>
      <c r="E147" s="6"/>
      <c r="F147" s="6">
        <f t="shared" si="20"/>
        <v>25.929587205221814</v>
      </c>
      <c r="G147" s="6">
        <f t="shared" si="21"/>
        <v>25.11348356988806</v>
      </c>
      <c r="H147" s="6">
        <f t="shared" si="23"/>
        <v>72081.4</v>
      </c>
      <c r="I147" s="6">
        <f t="shared" si="22"/>
        <v>75243.79999999999</v>
      </c>
      <c r="K147" s="46"/>
      <c r="L147" s="46"/>
    </row>
    <row r="148" spans="1:12" ht="37.5">
      <c r="A148" s="23" t="s">
        <v>72</v>
      </c>
      <c r="B148" s="89">
        <f>6600+1221</f>
        <v>7821</v>
      </c>
      <c r="C148" s="67">
        <f>6200+2078.4-1678.4+1221</f>
        <v>7821</v>
      </c>
      <c r="D148" s="67">
        <f>5500+500+400</f>
        <v>6400</v>
      </c>
      <c r="E148" s="6"/>
      <c r="F148" s="6">
        <f t="shared" si="20"/>
        <v>81.83096790691728</v>
      </c>
      <c r="G148" s="6">
        <f t="shared" si="21"/>
        <v>81.83096790691728</v>
      </c>
      <c r="H148" s="6">
        <f t="shared" si="23"/>
        <v>1421</v>
      </c>
      <c r="I148" s="6">
        <f t="shared" si="22"/>
        <v>1421</v>
      </c>
      <c r="K148" s="46"/>
      <c r="L148" s="46"/>
    </row>
    <row r="149" spans="1:12" ht="18.75">
      <c r="A149" s="23" t="s">
        <v>13</v>
      </c>
      <c r="B149" s="89">
        <v>19458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</f>
        <v>6243.600000000001</v>
      </c>
      <c r="E149" s="19"/>
      <c r="F149" s="6">
        <f t="shared" si="20"/>
        <v>32.087573234659274</v>
      </c>
      <c r="G149" s="6">
        <f t="shared" si="21"/>
        <v>32.07207947645808</v>
      </c>
      <c r="H149" s="6">
        <f t="shared" si="23"/>
        <v>13214.399999999998</v>
      </c>
      <c r="I149" s="6">
        <f t="shared" si="22"/>
        <v>13223.8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f>1014.5+27.4</f>
        <v>1041.9</v>
      </c>
      <c r="C151" s="67">
        <f>790+361.2</f>
        <v>1151.2</v>
      </c>
      <c r="D151" s="67">
        <f>371+201.4+67.1+225.1+10.2+160.5</f>
        <v>1035.3000000000002</v>
      </c>
      <c r="E151" s="19"/>
      <c r="F151" s="6">
        <f>D151/B151*100</f>
        <v>99.36654189461561</v>
      </c>
      <c r="G151" s="6">
        <f t="shared" si="21"/>
        <v>89.93224461431551</v>
      </c>
      <c r="H151" s="6">
        <f t="shared" si="23"/>
        <v>6.599999999999909</v>
      </c>
      <c r="I151" s="6">
        <f t="shared" si="22"/>
        <v>115.89999999999986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8505.6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</f>
        <v>3024</v>
      </c>
      <c r="E153" s="24"/>
      <c r="F153" s="6">
        <f>D153/B153*100</f>
        <v>35.55304740406321</v>
      </c>
      <c r="G153" s="6">
        <f t="shared" si="21"/>
        <v>34.10667358424597</v>
      </c>
      <c r="H153" s="6">
        <f t="shared" si="23"/>
        <v>5481.6</v>
      </c>
      <c r="I153" s="6">
        <f t="shared" si="22"/>
        <v>5842.299999999999</v>
      </c>
    </row>
    <row r="154" spans="1:9" ht="19.5" thickBot="1">
      <c r="A154" s="14" t="s">
        <v>20</v>
      </c>
      <c r="B154" s="91">
        <f>B137+B145+B149+B150+B146+B153+B152+B147+B151+B148</f>
        <v>823007.8999999999</v>
      </c>
      <c r="C154" s="91">
        <f>C137+C145+C149+C150+C146+C153+C152+C147+C151+C148</f>
        <v>861096.7</v>
      </c>
      <c r="D154" s="91">
        <f>D137+D145+D149+D150+D146+D153+D152+D147+D151+D148</f>
        <v>620457.6100000001</v>
      </c>
      <c r="E154" s="25"/>
      <c r="F154" s="3">
        <f>D154/B154*100</f>
        <v>75.38902238970005</v>
      </c>
      <c r="G154" s="3">
        <f t="shared" si="21"/>
        <v>72.05434767082491</v>
      </c>
      <c r="H154" s="3">
        <f>B154-D154</f>
        <v>202550.2899999998</v>
      </c>
      <c r="I154" s="3">
        <f t="shared" si="22"/>
        <v>240639.08999999985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543776.7100000001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543776.7100000001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2014-10-31T10:34:43Z</cp:lastPrinted>
  <dcterms:created xsi:type="dcterms:W3CDTF">2000-06-20T04:48:00Z</dcterms:created>
  <dcterms:modified xsi:type="dcterms:W3CDTF">2014-11-21T06:08:21Z</dcterms:modified>
  <cp:category/>
  <cp:version/>
  <cp:contentType/>
  <cp:contentStatus/>
</cp:coreProperties>
</file>